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2C01B71C-6CE4-4739-A9C1-EB79A76E6D5C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СКП с 01_09" sheetId="3" r:id="rId1"/>
    <sheet name="Автор каникулы" sheetId="4" r:id="rId2"/>
  </sheets>
  <calcPr calcId="181029"/>
</workbook>
</file>

<file path=xl/calcChain.xml><?xml version="1.0" encoding="utf-8"?>
<calcChain xmlns="http://schemas.openxmlformats.org/spreadsheetml/2006/main">
  <c r="H13" i="4" l="1"/>
  <c r="G13" i="4"/>
  <c r="H10" i="4"/>
  <c r="H9" i="4"/>
  <c r="G10" i="4"/>
  <c r="H12" i="4"/>
  <c r="H11" i="4"/>
  <c r="G12" i="4"/>
  <c r="G11" i="4"/>
  <c r="G9" i="4"/>
  <c r="F10" i="4"/>
  <c r="F9" i="4"/>
  <c r="E9" i="4"/>
  <c r="E10" i="4"/>
  <c r="J22" i="4" l="1"/>
  <c r="F22" i="4"/>
  <c r="E23" i="4" l="1"/>
  <c r="E22" i="4"/>
  <c r="F18" i="4"/>
  <c r="E18" i="4"/>
  <c r="E7" i="3" l="1"/>
  <c r="D7" i="3"/>
  <c r="B7" i="3"/>
  <c r="F26" i="4" l="1"/>
  <c r="F25" i="4"/>
  <c r="F24" i="4"/>
  <c r="F23" i="4"/>
  <c r="E26" i="4"/>
  <c r="E25" i="4"/>
  <c r="E24" i="4"/>
  <c r="C23" i="4"/>
  <c r="C26" i="4"/>
  <c r="C25" i="4"/>
  <c r="C24" i="4"/>
  <c r="J19" i="4"/>
  <c r="I19" i="4"/>
  <c r="H19" i="4"/>
  <c r="G19" i="4"/>
  <c r="F19" i="4"/>
  <c r="E19" i="4"/>
  <c r="D19" i="4"/>
  <c r="C19" i="4"/>
  <c r="F16" i="4" l="1"/>
  <c r="E16" i="4"/>
  <c r="C16" i="4"/>
  <c r="C15" i="4"/>
  <c r="C14" i="4"/>
  <c r="F13" i="4"/>
  <c r="F12" i="4"/>
  <c r="F11" i="4"/>
  <c r="C10" i="4"/>
  <c r="C9" i="4"/>
  <c r="C22" i="4" l="1"/>
  <c r="C20" i="4"/>
  <c r="C18" i="4"/>
  <c r="C17" i="4"/>
  <c r="F38" i="4" l="1"/>
  <c r="E38" i="4"/>
  <c r="I21" i="4"/>
  <c r="H21" i="4"/>
  <c r="G21" i="4"/>
  <c r="D21" i="4"/>
  <c r="G20" i="4"/>
  <c r="F20" i="4"/>
  <c r="E20" i="4"/>
  <c r="F17" i="4"/>
  <c r="E17" i="4"/>
  <c r="F15" i="4"/>
  <c r="E15" i="4"/>
  <c r="F14" i="4"/>
  <c r="E14" i="4"/>
  <c r="E13" i="4" l="1"/>
  <c r="E12" i="4"/>
  <c r="E11" i="4"/>
  <c r="C13" i="4"/>
  <c r="C12" i="4"/>
  <c r="C11" i="4"/>
  <c r="C8" i="3" l="1"/>
  <c r="B8" i="3"/>
  <c r="J26" i="4" l="1"/>
  <c r="J25" i="4"/>
  <c r="J24" i="4"/>
  <c r="J16" i="4"/>
  <c r="J15" i="4"/>
  <c r="J14" i="4"/>
  <c r="J13" i="4"/>
  <c r="J12" i="4"/>
  <c r="J11" i="4"/>
  <c r="J10" i="4"/>
  <c r="J9" i="4"/>
  <c r="H26" i="4"/>
  <c r="H25" i="4"/>
  <c r="H24" i="4"/>
  <c r="G26" i="4"/>
  <c r="G25" i="4"/>
  <c r="D26" i="4"/>
  <c r="D25" i="4"/>
  <c r="D24" i="4"/>
  <c r="J23" i="4"/>
  <c r="J20" i="4"/>
  <c r="I20" i="4"/>
  <c r="H20" i="4"/>
  <c r="D20" i="4"/>
  <c r="I18" i="4"/>
  <c r="H18" i="4"/>
  <c r="G18" i="4"/>
  <c r="H16" i="4"/>
  <c r="G16" i="4"/>
  <c r="D16" i="4"/>
  <c r="I15" i="4"/>
  <c r="I14" i="4"/>
  <c r="H15" i="4"/>
  <c r="H14" i="4"/>
  <c r="G15" i="4"/>
  <c r="D15" i="4"/>
  <c r="D14" i="4"/>
  <c r="I13" i="4"/>
  <c r="I12" i="4"/>
  <c r="I11" i="4"/>
  <c r="D13" i="4"/>
  <c r="D12" i="4"/>
  <c r="D11" i="4"/>
  <c r="I10" i="4"/>
  <c r="I9" i="4"/>
  <c r="D10" i="4"/>
  <c r="D9" i="4"/>
  <c r="I26" i="4" l="1"/>
  <c r="I25" i="4"/>
  <c r="I24" i="4"/>
  <c r="G24" i="4"/>
  <c r="G14" i="4"/>
  <c r="I16" i="4" l="1"/>
  <c r="J17" i="4" l="1"/>
  <c r="I17" i="4"/>
  <c r="E8" i="3" l="1"/>
  <c r="D8" i="3"/>
  <c r="F15" i="3" l="1"/>
  <c r="G8" i="3"/>
  <c r="F8" i="3"/>
  <c r="H15" i="3" l="1"/>
  <c r="H7" i="3" s="1"/>
  <c r="G15" i="3"/>
  <c r="G7" i="3" s="1"/>
  <c r="F7" i="3"/>
  <c r="H16" i="3"/>
  <c r="H8" i="3" s="1"/>
  <c r="G16" i="3"/>
  <c r="F16" i="3"/>
  <c r="H22" i="4" l="1"/>
  <c r="G23" i="4"/>
  <c r="G22" i="4"/>
  <c r="D23" i="4"/>
  <c r="D22" i="4"/>
  <c r="H17" i="4"/>
  <c r="G17" i="4"/>
  <c r="I23" i="4" l="1"/>
  <c r="H23" i="4"/>
  <c r="I22" i="4"/>
  <c r="J37" i="4" l="1"/>
  <c r="J36" i="4"/>
  <c r="J32" i="4"/>
  <c r="J28" i="4"/>
  <c r="J27" i="4"/>
  <c r="J35" i="4"/>
  <c r="J34" i="4"/>
  <c r="J33" i="4"/>
  <c r="J31" i="4"/>
  <c r="J30" i="4"/>
  <c r="I37" i="4"/>
  <c r="I36" i="4"/>
  <c r="I28" i="4"/>
  <c r="I27" i="4"/>
  <c r="I35" i="4"/>
  <c r="I34" i="4"/>
  <c r="I33" i="4"/>
  <c r="I32" i="4"/>
  <c r="I31" i="4"/>
  <c r="I30" i="4"/>
  <c r="H28" i="4" l="1"/>
  <c r="G28" i="4"/>
  <c r="F28" i="4"/>
  <c r="E28" i="4"/>
  <c r="D28" i="4"/>
  <c r="C28" i="4"/>
  <c r="H27" i="4"/>
  <c r="G27" i="4"/>
  <c r="F27" i="4"/>
  <c r="E27" i="4"/>
  <c r="D27" i="4"/>
  <c r="C27" i="4"/>
  <c r="H37" i="4" l="1"/>
  <c r="G37" i="4"/>
  <c r="F37" i="4"/>
  <c r="E37" i="4"/>
  <c r="D37" i="4"/>
  <c r="C37" i="4"/>
  <c r="H36" i="4"/>
  <c r="G36" i="4"/>
  <c r="F36" i="4"/>
  <c r="E36" i="4"/>
  <c r="D36" i="4"/>
  <c r="C36" i="4"/>
  <c r="G34" i="4"/>
  <c r="F34" i="4"/>
  <c r="E34" i="4"/>
  <c r="D34" i="4"/>
  <c r="H33" i="4"/>
  <c r="G33" i="4"/>
  <c r="F33" i="4"/>
  <c r="E33" i="4"/>
  <c r="D33" i="4"/>
  <c r="G32" i="4"/>
  <c r="F32" i="4"/>
  <c r="E32" i="4"/>
  <c r="D32" i="4"/>
  <c r="D31" i="4"/>
  <c r="C31" i="4"/>
  <c r="H30" i="4"/>
  <c r="K26" i="4"/>
  <c r="L26" i="4" s="1"/>
  <c r="M26" i="4" s="1"/>
  <c r="N26" i="4" s="1"/>
  <c r="O26" i="4" s="1"/>
  <c r="P26" i="4" s="1"/>
  <c r="Q26" i="4" s="1"/>
  <c r="R26" i="4" s="1"/>
  <c r="S26" i="4" s="1"/>
  <c r="H35" i="4"/>
  <c r="G35" i="4"/>
  <c r="F35" i="4"/>
  <c r="E35" i="4"/>
  <c r="D35" i="4"/>
  <c r="C35" i="4"/>
  <c r="K25" i="4"/>
  <c r="L25" i="4" s="1"/>
  <c r="M25" i="4" s="1"/>
  <c r="N25" i="4" s="1"/>
  <c r="O25" i="4" s="1"/>
  <c r="P25" i="4" s="1"/>
  <c r="Q25" i="4" s="1"/>
  <c r="R25" i="4" s="1"/>
  <c r="S25" i="4" s="1"/>
  <c r="H34" i="4"/>
  <c r="C34" i="4"/>
  <c r="K24" i="4"/>
  <c r="L24" i="4" s="1"/>
  <c r="M24" i="4" s="1"/>
  <c r="N24" i="4" s="1"/>
  <c r="O24" i="4" s="1"/>
  <c r="P24" i="4" s="1"/>
  <c r="Q24" i="4" s="1"/>
  <c r="R24" i="4" s="1"/>
  <c r="S24" i="4" s="1"/>
  <c r="C33" i="4"/>
  <c r="K21" i="4"/>
  <c r="L21" i="4" s="1"/>
  <c r="M21" i="4" s="1"/>
  <c r="N21" i="4" s="1"/>
  <c r="O21" i="4" s="1"/>
  <c r="P21" i="4" s="1"/>
  <c r="Q21" i="4" s="1"/>
  <c r="R21" i="4" s="1"/>
  <c r="S21" i="4" s="1"/>
  <c r="H32" i="4"/>
  <c r="K20" i="4"/>
  <c r="L20" i="4" s="1"/>
  <c r="M20" i="4" s="1"/>
  <c r="N20" i="4" s="1"/>
  <c r="O20" i="4" s="1"/>
  <c r="P20" i="4" s="1"/>
  <c r="Q20" i="4" s="1"/>
  <c r="R20" i="4" s="1"/>
  <c r="S20" i="4" s="1"/>
  <c r="H31" i="4"/>
  <c r="G31" i="4"/>
  <c r="F31" i="4"/>
  <c r="E31" i="4"/>
  <c r="K18" i="4"/>
  <c r="L18" i="4" s="1"/>
  <c r="M18" i="4" s="1"/>
  <c r="N18" i="4" s="1"/>
  <c r="O18" i="4" s="1"/>
  <c r="P18" i="4" s="1"/>
  <c r="Q18" i="4" s="1"/>
  <c r="R18" i="4" s="1"/>
  <c r="S18" i="4" s="1"/>
  <c r="G30" i="4"/>
  <c r="F30" i="4"/>
  <c r="E30" i="4"/>
  <c r="K16" i="4"/>
  <c r="L16" i="4" s="1"/>
  <c r="M16" i="4" s="1"/>
  <c r="N16" i="4" s="1"/>
  <c r="O16" i="4" s="1"/>
  <c r="P16" i="4" s="1"/>
  <c r="Q16" i="4" s="1"/>
  <c r="R16" i="4" s="1"/>
  <c r="S16" i="4" s="1"/>
  <c r="K15" i="4"/>
  <c r="L15" i="4" s="1"/>
  <c r="M15" i="4" s="1"/>
  <c r="N15" i="4" s="1"/>
  <c r="O15" i="4" s="1"/>
  <c r="P15" i="4" s="1"/>
  <c r="Q15" i="4" s="1"/>
  <c r="R15" i="4" s="1"/>
  <c r="S15" i="4" s="1"/>
  <c r="K14" i="4"/>
  <c r="L14" i="4" s="1"/>
  <c r="M14" i="4" s="1"/>
  <c r="N14" i="4" s="1"/>
  <c r="O14" i="4" s="1"/>
  <c r="P14" i="4" s="1"/>
  <c r="Q14" i="4" s="1"/>
  <c r="R14" i="4" s="1"/>
  <c r="S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-40% от 2х местного </t>
        </r>
      </text>
    </comment>
  </commentList>
</comments>
</file>

<file path=xl/sharedStrings.xml><?xml version="1.0" encoding="utf-8"?>
<sst xmlns="http://schemas.openxmlformats.org/spreadsheetml/2006/main" count="112" uniqueCount="64">
  <si>
    <t>Проживание + 3-х разовое  питание</t>
  </si>
  <si>
    <t>Двухместное размещение</t>
  </si>
  <si>
    <t>Одноместное размещение</t>
  </si>
  <si>
    <t>Дополнительное место для взрослых</t>
  </si>
  <si>
    <t>Дополнительное место для детей от 5 до 12 лет вкл</t>
  </si>
  <si>
    <t>Стандарт</t>
  </si>
  <si>
    <t>Основной корпус</t>
  </si>
  <si>
    <t>Форест Хаус, Дом в лесу</t>
  </si>
  <si>
    <t>Отдельно стоящие домики</t>
  </si>
  <si>
    <t>Вид размещения</t>
  </si>
  <si>
    <t>Делюкс +,  Студия +</t>
  </si>
  <si>
    <t>Дети до 4 лет (включительно)  на дополнительном месте размещаются БЕСПЛАТНО</t>
  </si>
  <si>
    <t>В домах возможно размещение 3-го взрослого на доп месте из одной семьи</t>
  </si>
  <si>
    <t>Стоимость санаторно курортных путевок в санаторий-профилакторий "Сибиряк"</t>
  </si>
  <si>
    <t>Улучшенный</t>
  </si>
  <si>
    <t>Обычный</t>
  </si>
  <si>
    <t xml:space="preserve">Здоровые Сосуды </t>
  </si>
  <si>
    <t>Движение Без боли</t>
  </si>
  <si>
    <t>Здоровый позвоночник</t>
  </si>
  <si>
    <t xml:space="preserve">Check Up  </t>
  </si>
  <si>
    <t>3 детский</t>
  </si>
  <si>
    <t xml:space="preserve">Нервы в порядке!                  </t>
  </si>
  <si>
    <t>Антистресс СПА (релакс)</t>
  </si>
  <si>
    <t>Аюрведа СПА</t>
  </si>
  <si>
    <t>33 000</t>
  </si>
  <si>
    <t>35 000</t>
  </si>
  <si>
    <t>30000</t>
  </si>
  <si>
    <t>32000</t>
  </si>
  <si>
    <t>Проживание + 3-х разовое  питание+ЛЕЧЕНИЕ</t>
  </si>
  <si>
    <t xml:space="preserve">Стандарт Одноместный номер </t>
  </si>
  <si>
    <t>Улучшенный обычный</t>
  </si>
  <si>
    <t xml:space="preserve">Бони и Клайд </t>
  </si>
  <si>
    <t>Проживание + завтрак</t>
  </si>
  <si>
    <t>Данный тариф не действует для номеров в оснвном корпусе</t>
  </si>
  <si>
    <t xml:space="preserve">Примечание: </t>
  </si>
  <si>
    <t>Размещение в Шале 4+2 человека на доп. место. Максимальное размещение 6 человек</t>
  </si>
  <si>
    <t>36000</t>
  </si>
  <si>
    <t>Скидки Постоянным гостям 7, 10 и 15 % в соответстсви с программой лояльности санатория</t>
  </si>
  <si>
    <t xml:space="preserve">Раннее Бронирование 10% скидка оплата за 30 дн. до заезда  </t>
  </si>
  <si>
    <t>Стандарт и стандарт 1М</t>
  </si>
  <si>
    <t xml:space="preserve">Дом Студия Шале </t>
  </si>
  <si>
    <t>Дом Студия, Шале</t>
  </si>
  <si>
    <t>ДЕЛЮКС+  Студия +</t>
  </si>
  <si>
    <t>"Свободное дыхание"  " Женское Здоровье"</t>
  </si>
  <si>
    <t>Антистресс СПА</t>
  </si>
  <si>
    <t xml:space="preserve">На 10 лет Моложе </t>
  </si>
  <si>
    <t>(оплата питания для детей от 2-до 4-х лет (полных лет) - 1600руб. /сутки - обязательно).</t>
  </si>
  <si>
    <t xml:space="preserve">Дополнительное питание обед-1200р ужин- 1200 р (при наличии свободных мест в обеденом зале) </t>
  </si>
  <si>
    <t>Скидка пенсионерам 7%</t>
  </si>
  <si>
    <t>40000</t>
  </si>
  <si>
    <t>56000</t>
  </si>
  <si>
    <t xml:space="preserve">Check Up  Эксперт </t>
  </si>
  <si>
    <t>Стройность Красота Энергия</t>
  </si>
  <si>
    <t xml:space="preserve">Код молодости      </t>
  </si>
  <si>
    <t>Количество дней</t>
  </si>
  <si>
    <t xml:space="preserve">Утверждаю _______________Р.А.Приходько </t>
  </si>
  <si>
    <t>с 09.01.2025  по 21.03.2025 Низкий сезон</t>
  </si>
  <si>
    <t xml:space="preserve">Утверждаю                          Р.А. Приходько  </t>
  </si>
  <si>
    <t>38000</t>
  </si>
  <si>
    <t>Шале, Мальдивы</t>
  </si>
  <si>
    <t xml:space="preserve">В домах возможно размещение 3-го взрослого из одной семьи на доп. месте </t>
  </si>
  <si>
    <t>Скидки Постоянным гостям 7, 10 и 15 % в соответстсвии с программой лояльности санатория</t>
  </si>
  <si>
    <t>Стоимость санаторно-курортных путевок в санаторий-профилакторий "Сибиряк"</t>
  </si>
  <si>
    <r>
      <rPr>
        <b/>
        <sz val="12"/>
        <rFont val="Arial"/>
        <family val="2"/>
        <charset val="204"/>
      </rPr>
      <t>Отдел бронирования и продажи путевок в Новосибирске</t>
    </r>
    <r>
      <rPr>
        <sz val="12"/>
        <rFont val="Arial"/>
        <family val="2"/>
        <charset val="204"/>
      </rPr>
      <t xml:space="preserve">
630099, Новосибирск, ул. Советская д.65, бизнес-центр АРКА, 2 этаж, 20
ООО БП “Теплые Страны”
————————————–
Режим работы офиса:
пн-пт  11:00 – 18:00      сб,вс – выходные
тел.  +79130060723      тел.  +79139841812</t>
    </r>
    <r>
      <rPr>
        <sz val="12"/>
        <color rgb="FFFF0000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</si>
</sst>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1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/>
    <xf numFmtId="49" fontId="1" fillId="0" borderId="1" xfId="0" applyNumberFormat="1" applyFont="1" applyBorder="1" applyAlignment="1">
      <alignment horizontal="center" vertical="top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 indent="5"/>
    </xf>
    <xf numFmtId="0" fontId="8" fillId="0" borderId="17" xfId="0" applyFont="1" applyBorder="1" applyAlignment="1">
      <alignment vertical="center" wrapText="1"/>
    </xf>
    <xf numFmtId="165" fontId="5" fillId="0" borderId="14" xfId="1" applyNumberFormat="1" applyFont="1" applyBorder="1" applyAlignment="1">
      <alignment horizontal="right" wrapText="1"/>
    </xf>
    <xf numFmtId="165" fontId="5" fillId="0" borderId="15" xfId="1" applyNumberFormat="1" applyFont="1" applyBorder="1" applyAlignment="1">
      <alignment horizontal="right" wrapText="1"/>
    </xf>
    <xf numFmtId="165" fontId="5" fillId="0" borderId="14" xfId="1" applyNumberFormat="1" applyFont="1" applyBorder="1" applyAlignment="1">
      <alignment horizontal="right" vertical="center" wrapText="1"/>
    </xf>
    <xf numFmtId="0" fontId="8" fillId="0" borderId="22" xfId="0" applyFont="1" applyBorder="1" applyAlignment="1">
      <alignment vertical="center" wrapText="1"/>
    </xf>
    <xf numFmtId="0" fontId="5" fillId="0" borderId="14" xfId="0" applyFont="1" applyBorder="1" applyAlignment="1">
      <alignment horizontal="right"/>
    </xf>
    <xf numFmtId="0" fontId="5" fillId="0" borderId="30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3" borderId="31" xfId="0" applyFont="1" applyFill="1" applyBorder="1" applyAlignment="1">
      <alignment horizontal="right"/>
    </xf>
    <xf numFmtId="0" fontId="8" fillId="0" borderId="26" xfId="0" applyFont="1" applyBorder="1" applyAlignment="1">
      <alignment vertical="center" wrapText="1"/>
    </xf>
    <xf numFmtId="165" fontId="5" fillId="0" borderId="27" xfId="1" applyNumberFormat="1" applyFont="1" applyBorder="1" applyAlignment="1">
      <alignment horizontal="right" wrapText="1"/>
    </xf>
    <xf numFmtId="165" fontId="5" fillId="0" borderId="27" xfId="1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vertical="center" wrapText="1"/>
    </xf>
    <xf numFmtId="165" fontId="5" fillId="0" borderId="21" xfId="1" applyNumberFormat="1" applyFont="1" applyBorder="1" applyAlignment="1">
      <alignment horizontal="right" wrapText="1"/>
    </xf>
    <xf numFmtId="165" fontId="5" fillId="0" borderId="21" xfId="1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165" fontId="3" fillId="0" borderId="21" xfId="1" applyNumberFormat="1" applyFont="1" applyBorder="1" applyAlignment="1">
      <alignment horizontal="right" wrapText="1"/>
    </xf>
    <xf numFmtId="165" fontId="3" fillId="0" borderId="21" xfId="1" applyNumberFormat="1" applyFont="1" applyBorder="1" applyAlignment="1">
      <alignment horizontal="right" vertical="center" wrapText="1"/>
    </xf>
    <xf numFmtId="0" fontId="9" fillId="0" borderId="14" xfId="0" applyFont="1" applyBorder="1" applyAlignment="1">
      <alignment vertical="center" wrapText="1"/>
    </xf>
    <xf numFmtId="0" fontId="10" fillId="0" borderId="22" xfId="0" applyFont="1" applyBorder="1" applyAlignment="1">
      <alignment vertical="top" wrapText="1"/>
    </xf>
    <xf numFmtId="0" fontId="8" fillId="0" borderId="28" xfId="0" applyFont="1" applyBorder="1"/>
    <xf numFmtId="49" fontId="3" fillId="0" borderId="26" xfId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Font="1" applyAlignment="1">
      <alignment horizontal="right"/>
    </xf>
    <xf numFmtId="0" fontId="4" fillId="0" borderId="28" xfId="0" applyFont="1" applyBorder="1"/>
    <xf numFmtId="0" fontId="5" fillId="0" borderId="26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top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top" wrapText="1"/>
    </xf>
    <xf numFmtId="0" fontId="8" fillId="0" borderId="21" xfId="0" applyFont="1" applyBorder="1" applyAlignment="1">
      <alignment vertical="center" wrapText="1"/>
    </xf>
    <xf numFmtId="0" fontId="8" fillId="0" borderId="20" xfId="0" applyFont="1" applyBorder="1" applyAlignment="1">
      <alignment vertical="top" wrapText="1"/>
    </xf>
    <xf numFmtId="165" fontId="5" fillId="3" borderId="21" xfId="1" applyNumberFormat="1" applyFont="1" applyFill="1" applyBorder="1" applyAlignment="1">
      <alignment horizontal="right" vertical="center" wrapText="1"/>
    </xf>
    <xf numFmtId="165" fontId="3" fillId="3" borderId="21" xfId="1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165" fontId="10" fillId="0" borderId="14" xfId="1" applyNumberFormat="1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/>
    </xf>
    <xf numFmtId="0" fontId="10" fillId="3" borderId="31" xfId="0" applyFont="1" applyFill="1" applyBorder="1" applyAlignment="1">
      <alignment horizontal="right"/>
    </xf>
    <xf numFmtId="0" fontId="8" fillId="3" borderId="14" xfId="0" applyFont="1" applyFill="1" applyBorder="1" applyAlignment="1">
      <alignment vertical="center" wrapText="1"/>
    </xf>
    <xf numFmtId="0" fontId="3" fillId="3" borderId="0" xfId="0" applyFont="1" applyFill="1"/>
    <xf numFmtId="165" fontId="3" fillId="0" borderId="14" xfId="1" applyNumberFormat="1" applyFont="1" applyBorder="1" applyAlignment="1">
      <alignment horizontal="right" vertical="center" wrapText="1"/>
    </xf>
    <xf numFmtId="164" fontId="5" fillId="0" borderId="29" xfId="1" applyFont="1" applyBorder="1" applyAlignment="1">
      <alignment horizontal="right"/>
    </xf>
    <xf numFmtId="165" fontId="3" fillId="0" borderId="22" xfId="1" applyNumberFormat="1" applyFont="1" applyBorder="1" applyAlignment="1">
      <alignment horizontal="right" vertical="center" wrapText="1"/>
    </xf>
    <xf numFmtId="165" fontId="3" fillId="0" borderId="26" xfId="1" applyNumberFormat="1" applyFont="1" applyBorder="1" applyAlignment="1">
      <alignment horizontal="right" vertical="center" wrapText="1"/>
    </xf>
    <xf numFmtId="165" fontId="5" fillId="0" borderId="26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13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28" workbookViewId="0">
      <selection activeCell="B40" sqref="B40:G40"/>
    </sheetView>
  </sheetViews>
  <sheetFormatPr defaultColWidth="9.140625" defaultRowHeight="15" x14ac:dyDescent="0.2"/>
  <cols>
    <col min="1" max="1" width="56.42578125" style="1" customWidth="1"/>
    <col min="2" max="2" width="11.28515625" style="1" customWidth="1"/>
    <col min="3" max="3" width="14.140625" style="1" customWidth="1"/>
    <col min="4" max="4" width="13.28515625" style="1" customWidth="1"/>
    <col min="5" max="5" width="12.7109375" style="1" customWidth="1"/>
    <col min="6" max="7" width="12.5703125" style="1" customWidth="1"/>
    <col min="8" max="8" width="16.42578125" style="1" customWidth="1"/>
    <col min="9" max="16384" width="9.140625" style="1"/>
  </cols>
  <sheetData>
    <row r="1" spans="1:8" x14ac:dyDescent="0.2">
      <c r="A1" s="1" t="s">
        <v>55</v>
      </c>
    </row>
    <row r="2" spans="1:8" x14ac:dyDescent="0.2">
      <c r="A2" s="69" t="s">
        <v>62</v>
      </c>
      <c r="B2" s="69"/>
      <c r="C2" s="69"/>
      <c r="D2" s="69"/>
      <c r="E2" s="69"/>
      <c r="F2" s="69"/>
      <c r="G2" s="69"/>
      <c r="H2" s="69"/>
    </row>
    <row r="3" spans="1:8" x14ac:dyDescent="0.2">
      <c r="B3" s="4" t="s">
        <v>56</v>
      </c>
      <c r="C3" s="4"/>
      <c r="D3" s="4"/>
      <c r="E3" s="4"/>
    </row>
    <row r="4" spans="1:8" ht="15.75" x14ac:dyDescent="0.2">
      <c r="A4" s="70" t="s">
        <v>28</v>
      </c>
      <c r="B4" s="71"/>
      <c r="C4" s="71"/>
      <c r="D4" s="71"/>
      <c r="E4" s="71"/>
      <c r="F4" s="71"/>
      <c r="G4" s="71"/>
      <c r="H4" s="71"/>
    </row>
    <row r="5" spans="1:8" x14ac:dyDescent="0.2">
      <c r="A5" s="72" t="s">
        <v>9</v>
      </c>
      <c r="B5" s="74" t="s">
        <v>6</v>
      </c>
      <c r="C5" s="74"/>
      <c r="D5" s="74"/>
      <c r="E5" s="74"/>
      <c r="F5" s="74" t="s">
        <v>8</v>
      </c>
      <c r="G5" s="74"/>
      <c r="H5" s="74"/>
    </row>
    <row r="6" spans="1:8" ht="45" x14ac:dyDescent="0.2">
      <c r="A6" s="73"/>
      <c r="B6" s="5" t="s">
        <v>5</v>
      </c>
      <c r="C6" s="5" t="s">
        <v>29</v>
      </c>
      <c r="D6" s="5" t="s">
        <v>30</v>
      </c>
      <c r="E6" s="5" t="s">
        <v>10</v>
      </c>
      <c r="F6" s="5" t="s">
        <v>59</v>
      </c>
      <c r="G6" s="5" t="s">
        <v>31</v>
      </c>
      <c r="H6" s="5" t="s">
        <v>7</v>
      </c>
    </row>
    <row r="7" spans="1:8" x14ac:dyDescent="0.2">
      <c r="A7" s="6" t="s">
        <v>1</v>
      </c>
      <c r="B7" s="7">
        <f>B15+500</f>
        <v>8100</v>
      </c>
      <c r="C7" s="7"/>
      <c r="D7" s="8">
        <f>D15+500</f>
        <v>10100</v>
      </c>
      <c r="E7" s="8">
        <f>E15+500</f>
        <v>10500</v>
      </c>
      <c r="F7" s="8">
        <f>F15+500</f>
        <v>11300</v>
      </c>
      <c r="G7" s="8">
        <f>G15+500</f>
        <v>10500</v>
      </c>
      <c r="H7" s="8">
        <f>H15+500</f>
        <v>10800</v>
      </c>
    </row>
    <row r="8" spans="1:8" x14ac:dyDescent="0.2">
      <c r="A8" s="6" t="s">
        <v>2</v>
      </c>
      <c r="B8" s="7">
        <f>B16+500</f>
        <v>10500</v>
      </c>
      <c r="C8" s="7">
        <f>C16+500</f>
        <v>10500</v>
      </c>
      <c r="D8" s="8">
        <f>D16+500</f>
        <v>13500</v>
      </c>
      <c r="E8" s="8">
        <f>E16+500</f>
        <v>13900</v>
      </c>
      <c r="F8" s="8">
        <f>17000+500</f>
        <v>17500</v>
      </c>
      <c r="G8" s="8">
        <f>16000+500</f>
        <v>16500</v>
      </c>
      <c r="H8" s="8">
        <f>H16+500</f>
        <v>17000</v>
      </c>
    </row>
    <row r="9" spans="1:8" x14ac:dyDescent="0.2">
      <c r="A9" s="6" t="s">
        <v>3</v>
      </c>
      <c r="B9" s="13"/>
      <c r="C9" s="7"/>
      <c r="D9" s="8">
        <v>5500</v>
      </c>
      <c r="E9" s="8">
        <v>5500</v>
      </c>
      <c r="F9" s="8">
        <v>5500</v>
      </c>
      <c r="G9" s="8"/>
      <c r="H9" s="8">
        <v>5500</v>
      </c>
    </row>
    <row r="10" spans="1:8" x14ac:dyDescent="0.2">
      <c r="A10" s="6" t="s">
        <v>4</v>
      </c>
      <c r="B10" s="7"/>
      <c r="C10" s="7"/>
      <c r="D10" s="8">
        <v>3900</v>
      </c>
      <c r="E10" s="8">
        <v>3900</v>
      </c>
      <c r="F10" s="8">
        <v>3900</v>
      </c>
      <c r="G10" s="8"/>
      <c r="H10" s="8">
        <v>3900</v>
      </c>
    </row>
    <row r="11" spans="1:8" x14ac:dyDescent="0.2">
      <c r="A11" s="9"/>
      <c r="B11" s="10"/>
      <c r="C11" s="10"/>
      <c r="D11" s="10"/>
      <c r="E11" s="10"/>
      <c r="F11" s="10"/>
      <c r="G11" s="10"/>
      <c r="H11" s="10"/>
    </row>
    <row r="12" spans="1:8" ht="15.75" x14ac:dyDescent="0.2">
      <c r="A12" s="70" t="s">
        <v>0</v>
      </c>
      <c r="B12" s="71"/>
      <c r="C12" s="71"/>
      <c r="D12" s="71"/>
      <c r="E12" s="71"/>
      <c r="F12" s="71"/>
      <c r="G12" s="71"/>
      <c r="H12" s="71"/>
    </row>
    <row r="13" spans="1:8" x14ac:dyDescent="0.2">
      <c r="A13" s="72" t="s">
        <v>9</v>
      </c>
      <c r="B13" s="74" t="s">
        <v>6</v>
      </c>
      <c r="C13" s="74"/>
      <c r="D13" s="74"/>
      <c r="E13" s="74"/>
      <c r="F13" s="74" t="s">
        <v>8</v>
      </c>
      <c r="G13" s="74"/>
      <c r="H13" s="74"/>
    </row>
    <row r="14" spans="1:8" ht="45" x14ac:dyDescent="0.2">
      <c r="A14" s="73"/>
      <c r="B14" s="5" t="s">
        <v>5</v>
      </c>
      <c r="C14" s="5" t="s">
        <v>29</v>
      </c>
      <c r="D14" s="5" t="s">
        <v>30</v>
      </c>
      <c r="E14" s="5" t="s">
        <v>10</v>
      </c>
      <c r="F14" s="5" t="s">
        <v>59</v>
      </c>
      <c r="G14" s="5" t="s">
        <v>31</v>
      </c>
      <c r="H14" s="5" t="s">
        <v>7</v>
      </c>
    </row>
    <row r="15" spans="1:8" x14ac:dyDescent="0.2">
      <c r="A15" s="6" t="s">
        <v>1</v>
      </c>
      <c r="B15" s="7">
        <v>7600</v>
      </c>
      <c r="C15" s="7"/>
      <c r="D15" s="8">
        <v>9600</v>
      </c>
      <c r="E15" s="8">
        <v>10000</v>
      </c>
      <c r="F15" s="8">
        <f>F25+1200</f>
        <v>10800</v>
      </c>
      <c r="G15" s="8">
        <f>G25+1200</f>
        <v>10000</v>
      </c>
      <c r="H15" s="8">
        <f>H25+1200</f>
        <v>10300</v>
      </c>
    </row>
    <row r="16" spans="1:8" x14ac:dyDescent="0.2">
      <c r="A16" s="6" t="s">
        <v>2</v>
      </c>
      <c r="B16" s="7">
        <v>10000</v>
      </c>
      <c r="C16" s="7">
        <v>10000</v>
      </c>
      <c r="D16" s="8">
        <v>13000</v>
      </c>
      <c r="E16" s="8">
        <v>13400</v>
      </c>
      <c r="F16" s="8">
        <f>F26+2500</f>
        <v>17000</v>
      </c>
      <c r="G16" s="8">
        <f>G26+2500</f>
        <v>16000</v>
      </c>
      <c r="H16" s="8">
        <f>H26+2500</f>
        <v>16500</v>
      </c>
    </row>
    <row r="17" spans="1:9" x14ac:dyDescent="0.2">
      <c r="A17" s="6" t="s">
        <v>3</v>
      </c>
      <c r="B17" s="7"/>
      <c r="C17" s="7"/>
      <c r="D17" s="7">
        <v>5000</v>
      </c>
      <c r="E17" s="7">
        <v>5000</v>
      </c>
      <c r="F17" s="7">
        <v>5000</v>
      </c>
      <c r="G17" s="8"/>
      <c r="H17" s="7">
        <v>5000</v>
      </c>
    </row>
    <row r="18" spans="1:9" x14ac:dyDescent="0.2">
      <c r="A18" s="6" t="s">
        <v>4</v>
      </c>
      <c r="B18" s="7"/>
      <c r="C18" s="7"/>
      <c r="D18" s="7">
        <v>3400</v>
      </c>
      <c r="E18" s="7">
        <v>3400</v>
      </c>
      <c r="F18" s="7">
        <v>3400</v>
      </c>
      <c r="G18" s="8"/>
      <c r="H18" s="7">
        <v>3400</v>
      </c>
      <c r="I18" s="10"/>
    </row>
    <row r="19" spans="1:9" x14ac:dyDescent="0.2">
      <c r="A19" s="9"/>
      <c r="B19" s="10"/>
      <c r="C19" s="10"/>
      <c r="D19" s="10"/>
      <c r="E19" s="10"/>
      <c r="F19" s="10"/>
      <c r="G19" s="10"/>
      <c r="H19" s="10"/>
    </row>
    <row r="22" spans="1:9" ht="15.75" x14ac:dyDescent="0.2">
      <c r="A22" s="70" t="s">
        <v>32</v>
      </c>
      <c r="B22" s="71"/>
      <c r="C22" s="71"/>
      <c r="D22" s="71"/>
      <c r="E22" s="71"/>
      <c r="F22" s="71"/>
      <c r="G22" s="71"/>
      <c r="H22" s="71"/>
    </row>
    <row r="23" spans="1:9" x14ac:dyDescent="0.2">
      <c r="A23" s="72" t="s">
        <v>9</v>
      </c>
      <c r="B23" s="74" t="s">
        <v>6</v>
      </c>
      <c r="C23" s="74"/>
      <c r="D23" s="74"/>
      <c r="E23" s="74"/>
      <c r="F23" s="74" t="s">
        <v>8</v>
      </c>
      <c r="G23" s="74"/>
      <c r="H23" s="74"/>
    </row>
    <row r="24" spans="1:9" ht="45" x14ac:dyDescent="0.2">
      <c r="A24" s="73"/>
      <c r="B24" s="5" t="s">
        <v>5</v>
      </c>
      <c r="C24" s="5" t="s">
        <v>29</v>
      </c>
      <c r="D24" s="5" t="s">
        <v>30</v>
      </c>
      <c r="E24" s="5" t="s">
        <v>10</v>
      </c>
      <c r="F24" s="5" t="s">
        <v>59</v>
      </c>
      <c r="G24" s="5" t="s">
        <v>31</v>
      </c>
      <c r="H24" s="5" t="s">
        <v>7</v>
      </c>
    </row>
    <row r="25" spans="1:9" x14ac:dyDescent="0.2">
      <c r="A25" s="6" t="s">
        <v>1</v>
      </c>
      <c r="B25" s="75" t="s">
        <v>33</v>
      </c>
      <c r="C25" s="76"/>
      <c r="D25" s="76"/>
      <c r="E25" s="77"/>
      <c r="F25" s="7">
        <v>9600</v>
      </c>
      <c r="G25" s="7">
        <v>8800</v>
      </c>
      <c r="H25" s="7">
        <v>9100</v>
      </c>
    </row>
    <row r="26" spans="1:9" x14ac:dyDescent="0.2">
      <c r="A26" s="6" t="s">
        <v>2</v>
      </c>
      <c r="B26" s="78"/>
      <c r="C26" s="79"/>
      <c r="D26" s="79"/>
      <c r="E26" s="80"/>
      <c r="F26" s="7">
        <v>14500</v>
      </c>
      <c r="G26" s="7">
        <v>13500</v>
      </c>
      <c r="H26" s="7">
        <v>14000</v>
      </c>
    </row>
    <row r="27" spans="1:9" x14ac:dyDescent="0.2">
      <c r="A27" s="6" t="s">
        <v>3</v>
      </c>
      <c r="B27" s="78"/>
      <c r="C27" s="79"/>
      <c r="D27" s="79"/>
      <c r="E27" s="80"/>
      <c r="F27" s="7">
        <v>4500</v>
      </c>
      <c r="G27" s="7"/>
      <c r="H27" s="7">
        <v>4500</v>
      </c>
    </row>
    <row r="28" spans="1:9" x14ac:dyDescent="0.2">
      <c r="A28" s="6" t="s">
        <v>4</v>
      </c>
      <c r="B28" s="81"/>
      <c r="C28" s="82"/>
      <c r="D28" s="82"/>
      <c r="E28" s="83"/>
      <c r="F28" s="7">
        <v>3100</v>
      </c>
      <c r="G28" s="7"/>
      <c r="H28" s="7">
        <v>3100</v>
      </c>
    </row>
    <row r="30" spans="1:9" ht="15.75" x14ac:dyDescent="0.25">
      <c r="A30" s="11" t="s">
        <v>34</v>
      </c>
    </row>
    <row r="31" spans="1:9" x14ac:dyDescent="0.2">
      <c r="A31" s="1">
        <v>1</v>
      </c>
      <c r="B31" s="1" t="s">
        <v>11</v>
      </c>
    </row>
    <row r="32" spans="1:9" x14ac:dyDescent="0.2">
      <c r="B32" s="1" t="s">
        <v>46</v>
      </c>
    </row>
    <row r="33" spans="1:8" x14ac:dyDescent="0.2">
      <c r="A33" s="1">
        <v>2</v>
      </c>
      <c r="B33" s="1" t="s">
        <v>60</v>
      </c>
    </row>
    <row r="34" spans="1:8" x14ac:dyDescent="0.2">
      <c r="A34" s="1">
        <v>3</v>
      </c>
      <c r="B34" s="1" t="s">
        <v>35</v>
      </c>
    </row>
    <row r="35" spans="1:8" ht="30.75" customHeight="1" x14ac:dyDescent="0.2">
      <c r="A35" s="1">
        <v>4</v>
      </c>
      <c r="B35" s="68" t="s">
        <v>61</v>
      </c>
      <c r="C35" s="68"/>
      <c r="D35" s="68"/>
      <c r="E35" s="68"/>
      <c r="F35" s="68"/>
      <c r="G35" s="68"/>
      <c r="H35" s="68"/>
    </row>
    <row r="36" spans="1:8" x14ac:dyDescent="0.2">
      <c r="A36" s="1">
        <v>5</v>
      </c>
      <c r="B36" s="12" t="s">
        <v>38</v>
      </c>
    </row>
    <row r="37" spans="1:8" ht="30" customHeight="1" x14ac:dyDescent="0.2">
      <c r="A37" s="1">
        <v>6</v>
      </c>
      <c r="B37" s="68" t="s">
        <v>47</v>
      </c>
      <c r="C37" s="68"/>
      <c r="D37" s="68"/>
      <c r="E37" s="68"/>
      <c r="F37" s="68"/>
      <c r="G37" s="68"/>
      <c r="H37" s="68"/>
    </row>
    <row r="38" spans="1:8" x14ac:dyDescent="0.2">
      <c r="A38" s="1">
        <v>7</v>
      </c>
      <c r="B38" s="1" t="s">
        <v>48</v>
      </c>
    </row>
    <row r="40" spans="1:8" ht="144" customHeight="1" x14ac:dyDescent="0.2">
      <c r="B40" s="97" t="s">
        <v>63</v>
      </c>
      <c r="C40" s="97"/>
      <c r="D40" s="97"/>
      <c r="E40" s="97"/>
      <c r="F40" s="97"/>
      <c r="G40" s="97"/>
    </row>
  </sheetData>
  <mergeCells count="17">
    <mergeCell ref="B40:G40"/>
    <mergeCell ref="B35:H35"/>
    <mergeCell ref="B37:H37"/>
    <mergeCell ref="A2:H2"/>
    <mergeCell ref="A4:H4"/>
    <mergeCell ref="A5:A6"/>
    <mergeCell ref="B5:E5"/>
    <mergeCell ref="F5:H5"/>
    <mergeCell ref="B25:E28"/>
    <mergeCell ref="A12:H12"/>
    <mergeCell ref="A13:A14"/>
    <mergeCell ref="B13:E13"/>
    <mergeCell ref="F13:H13"/>
    <mergeCell ref="A22:H22"/>
    <mergeCell ref="A23:A24"/>
    <mergeCell ref="B23:E23"/>
    <mergeCell ref="F23:H23"/>
  </mergeCells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8"/>
  <sheetViews>
    <sheetView tabSelected="1" topLeftCell="A13" workbookViewId="0">
      <selection activeCell="B48" sqref="B48:G48"/>
    </sheetView>
  </sheetViews>
  <sheetFormatPr defaultColWidth="9.140625" defaultRowHeight="12.75" x14ac:dyDescent="0.2"/>
  <cols>
    <col min="1" max="1" width="24.85546875" style="2" customWidth="1"/>
    <col min="2" max="3" width="11.7109375" style="2" customWidth="1"/>
    <col min="4" max="5" width="13.42578125" style="2" bestFit="1" customWidth="1"/>
    <col min="6" max="6" width="11.7109375" style="2" customWidth="1"/>
    <col min="7" max="7" width="13.42578125" style="2" bestFit="1" customWidth="1"/>
    <col min="8" max="8" width="12" style="2" customWidth="1"/>
    <col min="9" max="9" width="13.7109375" style="2" customWidth="1"/>
    <col min="10" max="10" width="14.42578125" style="2" customWidth="1"/>
    <col min="11" max="20" width="0" style="2" hidden="1" customWidth="1"/>
    <col min="21" max="21" width="11.85546875" style="2" customWidth="1"/>
    <col min="22" max="22" width="10.28515625" style="2" customWidth="1"/>
    <col min="23" max="16384" width="9.140625" style="2"/>
  </cols>
  <sheetData>
    <row r="1" spans="1:19" x14ac:dyDescent="0.2">
      <c r="A1" s="2" t="s">
        <v>57</v>
      </c>
    </row>
    <row r="2" spans="1:19" x14ac:dyDescent="0.2">
      <c r="D2" s="16" t="s">
        <v>13</v>
      </c>
    </row>
    <row r="3" spans="1:19" x14ac:dyDescent="0.2">
      <c r="D3" s="16" t="s">
        <v>56</v>
      </c>
      <c r="H3" s="17"/>
    </row>
    <row r="4" spans="1:19" ht="13.5" thickBot="1" x14ac:dyDescent="0.25">
      <c r="A4" s="18"/>
    </row>
    <row r="5" spans="1:19" ht="32.25" customHeight="1" x14ac:dyDescent="0.2">
      <c r="A5" s="91"/>
      <c r="B5" s="84" t="s">
        <v>54</v>
      </c>
      <c r="C5" s="84" t="s">
        <v>39</v>
      </c>
      <c r="D5" s="14" t="s">
        <v>5</v>
      </c>
      <c r="E5" s="87" t="s">
        <v>14</v>
      </c>
      <c r="F5" s="88"/>
      <c r="G5" s="87" t="s">
        <v>14</v>
      </c>
      <c r="H5" s="88"/>
      <c r="I5" s="45" t="s">
        <v>40</v>
      </c>
      <c r="J5" s="46" t="s">
        <v>41</v>
      </c>
    </row>
    <row r="6" spans="1:19" ht="45" customHeight="1" x14ac:dyDescent="0.2">
      <c r="A6" s="96"/>
      <c r="B6" s="85"/>
      <c r="C6" s="85"/>
      <c r="D6" s="15" t="s">
        <v>1</v>
      </c>
      <c r="E6" s="89" t="s">
        <v>2</v>
      </c>
      <c r="F6" s="90"/>
      <c r="G6" s="89" t="s">
        <v>1</v>
      </c>
      <c r="H6" s="90"/>
      <c r="I6" s="47" t="s">
        <v>1</v>
      </c>
      <c r="J6" s="48" t="s">
        <v>2</v>
      </c>
    </row>
    <row r="7" spans="1:19" ht="13.5" thickBot="1" x14ac:dyDescent="0.25">
      <c r="A7" s="96"/>
      <c r="B7" s="85"/>
      <c r="C7" s="85"/>
      <c r="D7" s="49"/>
      <c r="E7" s="50"/>
      <c r="F7" s="51"/>
      <c r="G7" s="50"/>
      <c r="H7" s="51"/>
      <c r="I7" s="47"/>
      <c r="J7" s="48"/>
    </row>
    <row r="8" spans="1:19" ht="39.75" customHeight="1" thickBot="1" x14ac:dyDescent="0.25">
      <c r="A8" s="92"/>
      <c r="B8" s="86"/>
      <c r="C8" s="86"/>
      <c r="D8" s="52"/>
      <c r="E8" s="53" t="s">
        <v>15</v>
      </c>
      <c r="F8" s="53" t="s">
        <v>42</v>
      </c>
      <c r="G8" s="53" t="s">
        <v>15</v>
      </c>
      <c r="H8" s="53" t="s">
        <v>42</v>
      </c>
      <c r="I8" s="54"/>
      <c r="J8" s="19"/>
    </row>
    <row r="9" spans="1:19" ht="13.5" thickBot="1" x14ac:dyDescent="0.25">
      <c r="A9" s="19" t="s">
        <v>16</v>
      </c>
      <c r="B9" s="66">
        <v>10</v>
      </c>
      <c r="C9" s="63">
        <f>11500*B9</f>
        <v>115000</v>
      </c>
      <c r="D9" s="63">
        <f>9200*B9</f>
        <v>92000</v>
      </c>
      <c r="E9" s="63">
        <f>14500*B9</f>
        <v>145000</v>
      </c>
      <c r="F9" s="63">
        <f>14900*B9</f>
        <v>149000</v>
      </c>
      <c r="G9" s="63">
        <f>10500*B9</f>
        <v>105000</v>
      </c>
      <c r="H9" s="63">
        <f>10900*B9</f>
        <v>109000</v>
      </c>
      <c r="I9" s="63">
        <f>11600*B9</f>
        <v>116000</v>
      </c>
      <c r="J9" s="63">
        <f>18500*B9</f>
        <v>185000</v>
      </c>
    </row>
    <row r="10" spans="1:19" ht="13.5" thickBot="1" x14ac:dyDescent="0.25">
      <c r="A10" s="23" t="s">
        <v>17</v>
      </c>
      <c r="B10" s="65">
        <v>14</v>
      </c>
      <c r="C10" s="20">
        <f>11500*B10</f>
        <v>161000</v>
      </c>
      <c r="D10" s="21">
        <f>9200*B10</f>
        <v>128800</v>
      </c>
      <c r="E10" s="22">
        <f>14500*B10</f>
        <v>203000</v>
      </c>
      <c r="F10" s="22">
        <f>14900*B10</f>
        <v>208600</v>
      </c>
      <c r="G10" s="58">
        <f>10500*B10</f>
        <v>147000</v>
      </c>
      <c r="H10" s="58">
        <f>10900*B10</f>
        <v>152600</v>
      </c>
      <c r="I10" s="22">
        <f>11600*B10</f>
        <v>162400</v>
      </c>
      <c r="J10" s="22">
        <f>18500*B10</f>
        <v>259000</v>
      </c>
    </row>
    <row r="11" spans="1:19" ht="15.75" customHeight="1" thickBot="1" x14ac:dyDescent="0.25">
      <c r="A11" s="93" t="s">
        <v>43</v>
      </c>
      <c r="B11" s="63">
        <v>7</v>
      </c>
      <c r="C11" s="24">
        <f>12000*B11</f>
        <v>84000</v>
      </c>
      <c r="D11" s="25">
        <f>9400*B11</f>
        <v>65800</v>
      </c>
      <c r="E11" s="26">
        <f>15000*B11</f>
        <v>105000</v>
      </c>
      <c r="F11" s="26">
        <f>15400*B11</f>
        <v>107800</v>
      </c>
      <c r="G11" s="59">
        <f>10600*B11</f>
        <v>74200</v>
      </c>
      <c r="H11" s="60">
        <f>11000*B11</f>
        <v>77000</v>
      </c>
      <c r="I11" s="27">
        <f>11800*B11</f>
        <v>82600</v>
      </c>
      <c r="J11" s="26">
        <f>18900*B11</f>
        <v>132300</v>
      </c>
    </row>
    <row r="12" spans="1:19" ht="15.75" customHeight="1" thickBot="1" x14ac:dyDescent="0.25">
      <c r="A12" s="94"/>
      <c r="B12" s="63">
        <v>10</v>
      </c>
      <c r="C12" s="24">
        <f>12000*B12</f>
        <v>120000</v>
      </c>
      <c r="D12" s="25">
        <f t="shared" ref="D12:D13" si="0">9400*B12</f>
        <v>94000</v>
      </c>
      <c r="E12" s="26">
        <f>15000*B12</f>
        <v>150000</v>
      </c>
      <c r="F12" s="26">
        <f>15400*B12</f>
        <v>154000</v>
      </c>
      <c r="G12" s="59">
        <f>10600*B12</f>
        <v>106000</v>
      </c>
      <c r="H12" s="60">
        <f>11000*B12</f>
        <v>110000</v>
      </c>
      <c r="I12" s="27">
        <f t="shared" ref="I12:I13" si="1">11800*B12</f>
        <v>118000</v>
      </c>
      <c r="J12" s="26">
        <f>18900*B12</f>
        <v>189000</v>
      </c>
    </row>
    <row r="13" spans="1:19" ht="15.75" customHeight="1" thickBot="1" x14ac:dyDescent="0.25">
      <c r="A13" s="95"/>
      <c r="B13" s="63">
        <v>14</v>
      </c>
      <c r="C13" s="24">
        <f>12000*B13</f>
        <v>168000</v>
      </c>
      <c r="D13" s="25">
        <f t="shared" si="0"/>
        <v>131600</v>
      </c>
      <c r="E13" s="26">
        <f>15000*B13</f>
        <v>210000</v>
      </c>
      <c r="F13" s="26">
        <f>15400*B13</f>
        <v>215600</v>
      </c>
      <c r="G13" s="59">
        <f>10600*B13</f>
        <v>148400</v>
      </c>
      <c r="H13" s="60">
        <f>11000*B13</f>
        <v>154000</v>
      </c>
      <c r="I13" s="27">
        <f t="shared" si="1"/>
        <v>165200</v>
      </c>
      <c r="J13" s="26">
        <f>18900*B13</f>
        <v>264600</v>
      </c>
    </row>
    <row r="14" spans="1:19" ht="15.75" customHeight="1" thickBot="1" x14ac:dyDescent="0.25">
      <c r="A14" s="91" t="s">
        <v>52</v>
      </c>
      <c r="B14" s="63">
        <v>7</v>
      </c>
      <c r="C14" s="20">
        <f>14000*B14</f>
        <v>98000</v>
      </c>
      <c r="D14" s="20">
        <f>11500*B14</f>
        <v>80500</v>
      </c>
      <c r="E14" s="22">
        <f>14500*B14</f>
        <v>101500</v>
      </c>
      <c r="F14" s="22">
        <f>15000*B14</f>
        <v>105000</v>
      </c>
      <c r="G14" s="22">
        <f>12500*B14</f>
        <v>87500</v>
      </c>
      <c r="H14" s="22">
        <f>13000*B14</f>
        <v>91000</v>
      </c>
      <c r="I14" s="22">
        <f>13500*B14</f>
        <v>94500</v>
      </c>
      <c r="J14" s="22">
        <f>18200*B14</f>
        <v>127400</v>
      </c>
      <c r="K14" s="2" t="e">
        <f>#REF!</f>
        <v>#REF!</v>
      </c>
      <c r="L14" s="2" t="e">
        <f>K14</f>
        <v>#REF!</v>
      </c>
      <c r="M14" s="2" t="e">
        <f t="shared" ref="M14:S14" si="2">L14</f>
        <v>#REF!</v>
      </c>
      <c r="N14" s="2" t="e">
        <f t="shared" si="2"/>
        <v>#REF!</v>
      </c>
      <c r="O14" s="2" t="e">
        <f t="shared" si="2"/>
        <v>#REF!</v>
      </c>
      <c r="P14" s="2" t="e">
        <f t="shared" si="2"/>
        <v>#REF!</v>
      </c>
      <c r="Q14" s="2" t="e">
        <f t="shared" si="2"/>
        <v>#REF!</v>
      </c>
      <c r="R14" s="2" t="e">
        <f t="shared" si="2"/>
        <v>#REF!</v>
      </c>
      <c r="S14" s="2" t="e">
        <f t="shared" si="2"/>
        <v>#REF!</v>
      </c>
    </row>
    <row r="15" spans="1:19" ht="15.75" customHeight="1" thickBot="1" x14ac:dyDescent="0.25">
      <c r="A15" s="96"/>
      <c r="B15" s="63">
        <v>14</v>
      </c>
      <c r="C15" s="20">
        <f>14000*B15</f>
        <v>196000</v>
      </c>
      <c r="D15" s="20">
        <f>11500*B15</f>
        <v>161000</v>
      </c>
      <c r="E15" s="22">
        <f>14500*B15</f>
        <v>203000</v>
      </c>
      <c r="F15" s="22">
        <f>15000*B15</f>
        <v>210000</v>
      </c>
      <c r="G15" s="22">
        <f>12500*B15</f>
        <v>175000</v>
      </c>
      <c r="H15" s="22">
        <f>13000*B15</f>
        <v>182000</v>
      </c>
      <c r="I15" s="22">
        <f>13500*B15</f>
        <v>189000</v>
      </c>
      <c r="J15" s="22">
        <f>18200*B15</f>
        <v>254800</v>
      </c>
      <c r="K15" s="2" t="e">
        <f>#REF!</f>
        <v>#REF!</v>
      </c>
      <c r="L15" s="2" t="e">
        <f t="shared" ref="L15:S26" si="3">K15</f>
        <v>#REF!</v>
      </c>
      <c r="M15" s="2" t="e">
        <f t="shared" si="3"/>
        <v>#REF!</v>
      </c>
      <c r="N15" s="2" t="e">
        <f t="shared" si="3"/>
        <v>#REF!</v>
      </c>
      <c r="O15" s="2" t="e">
        <f t="shared" si="3"/>
        <v>#REF!</v>
      </c>
      <c r="P15" s="2" t="e">
        <f t="shared" si="3"/>
        <v>#REF!</v>
      </c>
      <c r="Q15" s="2" t="e">
        <f t="shared" si="3"/>
        <v>#REF!</v>
      </c>
      <c r="R15" s="2" t="e">
        <f t="shared" si="3"/>
        <v>#REF!</v>
      </c>
      <c r="S15" s="2" t="e">
        <f t="shared" si="3"/>
        <v>#REF!</v>
      </c>
    </row>
    <row r="16" spans="1:19" ht="13.5" thickBot="1" x14ac:dyDescent="0.25">
      <c r="A16" s="28" t="s">
        <v>18</v>
      </c>
      <c r="B16" s="63">
        <v>12</v>
      </c>
      <c r="C16" s="29">
        <f>14000*B16</f>
        <v>168000</v>
      </c>
      <c r="D16" s="29">
        <f>9800*B16</f>
        <v>117600</v>
      </c>
      <c r="E16" s="30">
        <f>15000*B16</f>
        <v>180000</v>
      </c>
      <c r="F16" s="30">
        <f>15500*B16</f>
        <v>186000</v>
      </c>
      <c r="G16" s="30">
        <f>10700*B16</f>
        <v>128400</v>
      </c>
      <c r="H16" s="30">
        <f>11100*B16</f>
        <v>133200</v>
      </c>
      <c r="I16" s="30">
        <f>11700*B16</f>
        <v>140400</v>
      </c>
      <c r="J16" s="30">
        <f>18500*B16</f>
        <v>222000</v>
      </c>
      <c r="K16" s="2" t="e">
        <f>#REF!</f>
        <v>#REF!</v>
      </c>
      <c r="L16" s="2" t="e">
        <f t="shared" si="3"/>
        <v>#REF!</v>
      </c>
      <c r="M16" s="2" t="e">
        <f t="shared" si="3"/>
        <v>#REF!</v>
      </c>
      <c r="N16" s="2" t="e">
        <f t="shared" si="3"/>
        <v>#REF!</v>
      </c>
      <c r="O16" s="2" t="e">
        <f t="shared" si="3"/>
        <v>#REF!</v>
      </c>
      <c r="P16" s="2" t="e">
        <f t="shared" si="3"/>
        <v>#REF!</v>
      </c>
      <c r="Q16" s="2" t="e">
        <f t="shared" si="3"/>
        <v>#REF!</v>
      </c>
      <c r="R16" s="2" t="e">
        <f t="shared" si="3"/>
        <v>#REF!</v>
      </c>
      <c r="S16" s="2" t="e">
        <f t="shared" si="3"/>
        <v>#REF!</v>
      </c>
    </row>
    <row r="17" spans="1:25" ht="13.5" thickBot="1" x14ac:dyDescent="0.25">
      <c r="A17" s="31" t="s">
        <v>45</v>
      </c>
      <c r="B17" s="63">
        <v>7</v>
      </c>
      <c r="C17" s="32">
        <f>15500*B17</f>
        <v>108500</v>
      </c>
      <c r="D17" s="32"/>
      <c r="E17" s="55">
        <f>16500*B17</f>
        <v>115500</v>
      </c>
      <c r="F17" s="55">
        <f>17000*B17</f>
        <v>119000</v>
      </c>
      <c r="G17" s="33">
        <f>13900*B17</f>
        <v>97300</v>
      </c>
      <c r="H17" s="33">
        <f>14800*B17</f>
        <v>103600</v>
      </c>
      <c r="I17" s="33">
        <f>15500*B17</f>
        <v>108500</v>
      </c>
      <c r="J17" s="33">
        <f>21500*B17</f>
        <v>150500</v>
      </c>
    </row>
    <row r="18" spans="1:25" ht="13.5" thickBot="1" x14ac:dyDescent="0.25">
      <c r="A18" s="23" t="s">
        <v>53</v>
      </c>
      <c r="B18" s="63">
        <v>6</v>
      </c>
      <c r="C18" s="32">
        <f>17100*B18</f>
        <v>102600</v>
      </c>
      <c r="D18" s="32"/>
      <c r="E18" s="55">
        <f>19000*B18</f>
        <v>114000</v>
      </c>
      <c r="F18" s="55">
        <f>19400*B18</f>
        <v>116400</v>
      </c>
      <c r="G18" s="33">
        <f>16100*B18</f>
        <v>96600</v>
      </c>
      <c r="H18" s="33">
        <f>16600*B18</f>
        <v>99600</v>
      </c>
      <c r="I18" s="33">
        <f>16600*B18</f>
        <v>99600</v>
      </c>
      <c r="J18" s="33"/>
      <c r="K18" s="2" t="e">
        <f>#REF!</f>
        <v>#REF!</v>
      </c>
      <c r="L18" s="2" t="e">
        <f t="shared" si="3"/>
        <v>#REF!</v>
      </c>
      <c r="M18" s="2" t="e">
        <f t="shared" si="3"/>
        <v>#REF!</v>
      </c>
      <c r="N18" s="2" t="e">
        <f t="shared" si="3"/>
        <v>#REF!</v>
      </c>
      <c r="O18" s="2" t="e">
        <f t="shared" si="3"/>
        <v>#REF!</v>
      </c>
      <c r="P18" s="2" t="e">
        <f t="shared" si="3"/>
        <v>#REF!</v>
      </c>
      <c r="Q18" s="2" t="e">
        <f t="shared" si="3"/>
        <v>#REF!</v>
      </c>
      <c r="R18" s="2" t="e">
        <f t="shared" si="3"/>
        <v>#REF!</v>
      </c>
      <c r="S18" s="2" t="e">
        <f t="shared" si="3"/>
        <v>#REF!</v>
      </c>
    </row>
    <row r="19" spans="1:25" ht="13.5" thickBot="1" x14ac:dyDescent="0.25">
      <c r="A19" s="34" t="s">
        <v>51</v>
      </c>
      <c r="B19" s="63">
        <v>3</v>
      </c>
      <c r="C19" s="35">
        <f>34000*B19</f>
        <v>102000</v>
      </c>
      <c r="D19" s="35">
        <f>31700*B19</f>
        <v>95100</v>
      </c>
      <c r="E19" s="56">
        <f>37500*B19</f>
        <v>112500</v>
      </c>
      <c r="F19" s="56">
        <f>38000*B19</f>
        <v>114000</v>
      </c>
      <c r="G19" s="36">
        <f>35500*B19</f>
        <v>106500</v>
      </c>
      <c r="H19" s="36">
        <f>36500*B19</f>
        <v>109500</v>
      </c>
      <c r="I19" s="36">
        <f>38500*B19</f>
        <v>115500</v>
      </c>
      <c r="J19" s="36">
        <f>51800*B19</f>
        <v>155400</v>
      </c>
    </row>
    <row r="20" spans="1:25" ht="13.5" thickBot="1" x14ac:dyDescent="0.25">
      <c r="A20" s="91" t="s">
        <v>19</v>
      </c>
      <c r="B20" s="67">
        <v>3</v>
      </c>
      <c r="C20" s="32">
        <f>29500*B20</f>
        <v>88500</v>
      </c>
      <c r="D20" s="32">
        <f>22900*B20</f>
        <v>68700</v>
      </c>
      <c r="E20" s="55">
        <f>28000*B20</f>
        <v>84000</v>
      </c>
      <c r="F20" s="55">
        <f>28400*B20</f>
        <v>85200</v>
      </c>
      <c r="G20" s="33">
        <f>23800*B19</f>
        <v>71400</v>
      </c>
      <c r="H20" s="33">
        <f>24200*B20</f>
        <v>72600</v>
      </c>
      <c r="I20" s="33">
        <f>27200*B20</f>
        <v>81600</v>
      </c>
      <c r="J20" s="33">
        <f>38000*3</f>
        <v>114000</v>
      </c>
      <c r="K20" s="2" t="e">
        <f>#REF!</f>
        <v>#REF!</v>
      </c>
      <c r="L20" s="2" t="e">
        <f t="shared" si="3"/>
        <v>#REF!</v>
      </c>
      <c r="M20" s="2" t="e">
        <f t="shared" si="3"/>
        <v>#REF!</v>
      </c>
      <c r="N20" s="2" t="e">
        <f t="shared" si="3"/>
        <v>#REF!</v>
      </c>
      <c r="O20" s="2" t="e">
        <f t="shared" si="3"/>
        <v>#REF!</v>
      </c>
      <c r="P20" s="2" t="e">
        <f t="shared" si="3"/>
        <v>#REF!</v>
      </c>
      <c r="Q20" s="2" t="e">
        <f t="shared" si="3"/>
        <v>#REF!</v>
      </c>
      <c r="R20" s="2" t="e">
        <f t="shared" si="3"/>
        <v>#REF!</v>
      </c>
      <c r="S20" s="2" t="e">
        <f t="shared" si="3"/>
        <v>#REF!</v>
      </c>
    </row>
    <row r="21" spans="1:25" ht="15.75" customHeight="1" thickBot="1" x14ac:dyDescent="0.25">
      <c r="A21" s="92"/>
      <c r="B21" s="33" t="s">
        <v>20</v>
      </c>
      <c r="C21" s="32"/>
      <c r="D21" s="32">
        <f>13500*3</f>
        <v>40500</v>
      </c>
      <c r="E21" s="55"/>
      <c r="F21" s="55"/>
      <c r="G21" s="33">
        <f>15500*B20</f>
        <v>46500</v>
      </c>
      <c r="H21" s="33">
        <f>16000*3</f>
        <v>48000</v>
      </c>
      <c r="I21" s="33">
        <f>17000*3</f>
        <v>51000</v>
      </c>
      <c r="J21" s="33"/>
      <c r="K21" s="2" t="e">
        <f>#REF!</f>
        <v>#REF!</v>
      </c>
      <c r="L21" s="2" t="e">
        <f t="shared" si="3"/>
        <v>#REF!</v>
      </c>
      <c r="M21" s="2" t="e">
        <f t="shared" si="3"/>
        <v>#REF!</v>
      </c>
      <c r="N21" s="2" t="e">
        <f t="shared" si="3"/>
        <v>#REF!</v>
      </c>
      <c r="O21" s="2" t="e">
        <f t="shared" si="3"/>
        <v>#REF!</v>
      </c>
      <c r="P21" s="2" t="e">
        <f t="shared" si="3"/>
        <v>#REF!</v>
      </c>
      <c r="Q21" s="2" t="e">
        <f t="shared" si="3"/>
        <v>#REF!</v>
      </c>
      <c r="R21" s="2" t="e">
        <f t="shared" si="3"/>
        <v>#REF!</v>
      </c>
      <c r="S21" s="2" t="e">
        <f t="shared" si="3"/>
        <v>#REF!</v>
      </c>
    </row>
    <row r="22" spans="1:25" s="57" customFormat="1" ht="15.75" customHeight="1" thickBot="1" x14ac:dyDescent="0.25">
      <c r="A22" s="61"/>
      <c r="B22" s="55">
        <v>1</v>
      </c>
      <c r="C22" s="55">
        <f>16500*B22</f>
        <v>16500</v>
      </c>
      <c r="D22" s="55">
        <f>13000*B22</f>
        <v>13000</v>
      </c>
      <c r="E22" s="55">
        <f>19000*B22</f>
        <v>19000</v>
      </c>
      <c r="F22" s="56">
        <f>19400</f>
        <v>19400</v>
      </c>
      <c r="G22" s="55">
        <f>15600*B22</f>
        <v>15600</v>
      </c>
      <c r="H22" s="55">
        <f>16400*B22</f>
        <v>16400</v>
      </c>
      <c r="I22" s="55">
        <f>16400*B22</f>
        <v>16400</v>
      </c>
      <c r="J22" s="56">
        <f>25000</f>
        <v>25000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spans="1:25" ht="15.75" customHeight="1" thickBot="1" x14ac:dyDescent="0.25">
      <c r="A23" s="19" t="s">
        <v>44</v>
      </c>
      <c r="B23" s="33">
        <v>1</v>
      </c>
      <c r="C23" s="33">
        <f>16500*B23</f>
        <v>16500</v>
      </c>
      <c r="D23" s="33">
        <f>13000*B23</f>
        <v>13000</v>
      </c>
      <c r="E23" s="55">
        <f>19000*B23</f>
        <v>19000</v>
      </c>
      <c r="F23" s="56">
        <f>19400*B23</f>
        <v>19400</v>
      </c>
      <c r="G23" s="33">
        <f>15600*B23</f>
        <v>15600</v>
      </c>
      <c r="H23" s="33">
        <f>16400*B23</f>
        <v>16400</v>
      </c>
      <c r="I23" s="33">
        <f>16400*B23</f>
        <v>16400</v>
      </c>
      <c r="J23" s="36">
        <f>25000*B23</f>
        <v>25000</v>
      </c>
    </row>
    <row r="24" spans="1:25" ht="13.5" thickBot="1" x14ac:dyDescent="0.25">
      <c r="A24" s="37"/>
      <c r="B24" s="33">
        <v>3</v>
      </c>
      <c r="C24" s="32">
        <f>14000*B24</f>
        <v>42000</v>
      </c>
      <c r="D24" s="32">
        <f>11100*B24</f>
        <v>33300</v>
      </c>
      <c r="E24" s="55">
        <f>15000*B24</f>
        <v>45000</v>
      </c>
      <c r="F24" s="55">
        <f>15400*B24</f>
        <v>46200</v>
      </c>
      <c r="G24" s="33">
        <f>12000*B24</f>
        <v>36000</v>
      </c>
      <c r="H24" s="33">
        <f>12400*B24</f>
        <v>37200</v>
      </c>
      <c r="I24" s="33">
        <f>13000*B24</f>
        <v>39000</v>
      </c>
      <c r="J24" s="33">
        <f>18500*B24</f>
        <v>55500</v>
      </c>
      <c r="K24" s="2" t="e">
        <f>#REF!</f>
        <v>#REF!</v>
      </c>
      <c r="L24" s="2" t="e">
        <f t="shared" si="3"/>
        <v>#REF!</v>
      </c>
      <c r="M24" s="2" t="e">
        <f t="shared" si="3"/>
        <v>#REF!</v>
      </c>
      <c r="N24" s="2" t="e">
        <f t="shared" si="3"/>
        <v>#REF!</v>
      </c>
      <c r="O24" s="2" t="e">
        <f t="shared" si="3"/>
        <v>#REF!</v>
      </c>
      <c r="P24" s="2" t="e">
        <f t="shared" si="3"/>
        <v>#REF!</v>
      </c>
      <c r="Q24" s="2" t="e">
        <f t="shared" si="3"/>
        <v>#REF!</v>
      </c>
      <c r="R24" s="2" t="e">
        <f t="shared" si="3"/>
        <v>#REF!</v>
      </c>
      <c r="S24" s="2" t="e">
        <f t="shared" si="3"/>
        <v>#REF!</v>
      </c>
    </row>
    <row r="25" spans="1:25" ht="13.5" thickBot="1" x14ac:dyDescent="0.25">
      <c r="A25" s="19" t="s">
        <v>21</v>
      </c>
      <c r="B25" s="33">
        <v>5</v>
      </c>
      <c r="C25" s="32">
        <f>14000*B25</f>
        <v>70000</v>
      </c>
      <c r="D25" s="32">
        <f t="shared" ref="D25:D26" si="4">11100*B25</f>
        <v>55500</v>
      </c>
      <c r="E25" s="33">
        <f>15000*B25</f>
        <v>75000</v>
      </c>
      <c r="F25" s="33">
        <f>15400*B25</f>
        <v>77000</v>
      </c>
      <c r="G25" s="33">
        <f t="shared" ref="G25:G26" si="5">12000*B25</f>
        <v>60000</v>
      </c>
      <c r="H25" s="33">
        <f t="shared" ref="H25:H26" si="6">12400*B25</f>
        <v>62000</v>
      </c>
      <c r="I25" s="33">
        <f>13000*B25</f>
        <v>65000</v>
      </c>
      <c r="J25" s="33">
        <f>18500*B25</f>
        <v>92500</v>
      </c>
      <c r="K25" s="2" t="e">
        <f>#REF!</f>
        <v>#REF!</v>
      </c>
      <c r="L25" s="2" t="e">
        <f t="shared" si="3"/>
        <v>#REF!</v>
      </c>
      <c r="M25" s="2" t="e">
        <f t="shared" si="3"/>
        <v>#REF!</v>
      </c>
      <c r="N25" s="2" t="e">
        <f t="shared" si="3"/>
        <v>#REF!</v>
      </c>
      <c r="O25" s="2" t="e">
        <f t="shared" si="3"/>
        <v>#REF!</v>
      </c>
      <c r="P25" s="2" t="e">
        <f t="shared" si="3"/>
        <v>#REF!</v>
      </c>
      <c r="Q25" s="2" t="e">
        <f t="shared" si="3"/>
        <v>#REF!</v>
      </c>
      <c r="R25" s="2" t="e">
        <f t="shared" si="3"/>
        <v>#REF!</v>
      </c>
      <c r="S25" s="2" t="e">
        <f t="shared" si="3"/>
        <v>#REF!</v>
      </c>
    </row>
    <row r="26" spans="1:25" ht="13.5" thickBot="1" x14ac:dyDescent="0.25">
      <c r="A26" s="38"/>
      <c r="B26" s="33">
        <v>7</v>
      </c>
      <c r="C26" s="32">
        <f>14000*B26</f>
        <v>98000</v>
      </c>
      <c r="D26" s="32">
        <f t="shared" si="4"/>
        <v>77700</v>
      </c>
      <c r="E26" s="33">
        <f>15000*B26</f>
        <v>105000</v>
      </c>
      <c r="F26" s="33">
        <f>15400*B26</f>
        <v>107800</v>
      </c>
      <c r="G26" s="33">
        <f t="shared" si="5"/>
        <v>84000</v>
      </c>
      <c r="H26" s="33">
        <f t="shared" si="6"/>
        <v>86800</v>
      </c>
      <c r="I26" s="33">
        <f>13000*B26</f>
        <v>91000</v>
      </c>
      <c r="J26" s="33">
        <f>18500*B26</f>
        <v>129500</v>
      </c>
      <c r="K26" s="2" t="e">
        <f>#REF!</f>
        <v>#REF!</v>
      </c>
      <c r="L26" s="2" t="e">
        <f t="shared" si="3"/>
        <v>#REF!</v>
      </c>
      <c r="M26" s="2" t="e">
        <f t="shared" si="3"/>
        <v>#REF!</v>
      </c>
      <c r="N26" s="2" t="e">
        <f t="shared" si="3"/>
        <v>#REF!</v>
      </c>
      <c r="O26" s="2" t="e">
        <f t="shared" si="3"/>
        <v>#REF!</v>
      </c>
      <c r="P26" s="2" t="e">
        <f t="shared" si="3"/>
        <v>#REF!</v>
      </c>
      <c r="Q26" s="2" t="e">
        <f t="shared" si="3"/>
        <v>#REF!</v>
      </c>
      <c r="R26" s="2" t="e">
        <f t="shared" si="3"/>
        <v>#REF!</v>
      </c>
      <c r="S26" s="2" t="e">
        <f t="shared" si="3"/>
        <v>#REF!</v>
      </c>
    </row>
    <row r="27" spans="1:25" ht="15.75" hidden="1" customHeight="1" thickBot="1" x14ac:dyDescent="0.25">
      <c r="A27" s="91" t="s">
        <v>22</v>
      </c>
      <c r="B27" s="33">
        <v>2</v>
      </c>
      <c r="C27" s="33">
        <f>13200*2</f>
        <v>26400</v>
      </c>
      <c r="D27" s="33">
        <f>11800*2</f>
        <v>23600</v>
      </c>
      <c r="E27" s="33">
        <f>15000*2</f>
        <v>30000</v>
      </c>
      <c r="F27" s="36">
        <f>15400*2</f>
        <v>30800</v>
      </c>
      <c r="G27" s="33">
        <f>12400*2</f>
        <v>24800</v>
      </c>
      <c r="H27" s="33">
        <f>12900*2</f>
        <v>25800</v>
      </c>
      <c r="I27" s="33">
        <f>12900*2</f>
        <v>25800</v>
      </c>
      <c r="J27" s="36">
        <f>15400*2</f>
        <v>30800</v>
      </c>
    </row>
    <row r="28" spans="1:25" ht="15.75" hidden="1" customHeight="1" thickBot="1" x14ac:dyDescent="0.25">
      <c r="A28" s="92"/>
      <c r="B28" s="33">
        <v>3</v>
      </c>
      <c r="C28" s="33">
        <f>13200*3</f>
        <v>39600</v>
      </c>
      <c r="D28" s="33">
        <f>11800*3</f>
        <v>35400</v>
      </c>
      <c r="E28" s="33">
        <f>15000*3</f>
        <v>45000</v>
      </c>
      <c r="F28" s="33">
        <f>15400*3</f>
        <v>46200</v>
      </c>
      <c r="G28" s="33">
        <f>12400*3</f>
        <v>37200</v>
      </c>
      <c r="H28" s="33">
        <f>12900*3</f>
        <v>38700</v>
      </c>
      <c r="I28" s="33">
        <f>12900*3</f>
        <v>38700</v>
      </c>
      <c r="J28" s="33">
        <f>15400*3</f>
        <v>46200</v>
      </c>
    </row>
    <row r="29" spans="1:25" ht="15.75" hidden="1" customHeight="1" thickBot="1" x14ac:dyDescent="0.25">
      <c r="A29" s="39" t="s">
        <v>23</v>
      </c>
      <c r="B29" s="44">
        <v>2</v>
      </c>
      <c r="C29" s="64"/>
      <c r="D29" s="64"/>
      <c r="E29" s="40" t="s">
        <v>24</v>
      </c>
      <c r="F29" s="40" t="s">
        <v>25</v>
      </c>
      <c r="G29" s="40" t="s">
        <v>26</v>
      </c>
      <c r="H29" s="40" t="s">
        <v>27</v>
      </c>
      <c r="I29" s="40" t="s">
        <v>27</v>
      </c>
      <c r="J29" s="40" t="s">
        <v>25</v>
      </c>
    </row>
    <row r="30" spans="1:25" ht="13.5" hidden="1" thickBot="1" x14ac:dyDescent="0.25">
      <c r="B30" s="41"/>
      <c r="C30" s="42"/>
      <c r="D30" s="42"/>
      <c r="E30" s="42">
        <f t="shared" ref="E30:J30" si="7">E18/6</f>
        <v>19000</v>
      </c>
      <c r="F30" s="42">
        <f t="shared" si="7"/>
        <v>19400</v>
      </c>
      <c r="G30" s="42">
        <f t="shared" si="7"/>
        <v>16100</v>
      </c>
      <c r="H30" s="42">
        <f t="shared" si="7"/>
        <v>16600</v>
      </c>
      <c r="I30" s="42">
        <f t="shared" si="7"/>
        <v>16600</v>
      </c>
      <c r="J30" s="42">
        <f t="shared" si="7"/>
        <v>0</v>
      </c>
    </row>
    <row r="31" spans="1:25" ht="13.5" hidden="1" thickBot="1" x14ac:dyDescent="0.25">
      <c r="B31" s="41"/>
      <c r="C31" s="42">
        <f t="shared" ref="C31:J31" si="8">C20/3</f>
        <v>29500</v>
      </c>
      <c r="D31" s="42">
        <f t="shared" si="8"/>
        <v>22900</v>
      </c>
      <c r="E31" s="42">
        <f t="shared" si="8"/>
        <v>28000</v>
      </c>
      <c r="F31" s="42">
        <f t="shared" si="8"/>
        <v>28400</v>
      </c>
      <c r="G31" s="42">
        <f t="shared" si="8"/>
        <v>23800</v>
      </c>
      <c r="H31" s="42">
        <f t="shared" si="8"/>
        <v>24200</v>
      </c>
      <c r="I31" s="42">
        <f t="shared" si="8"/>
        <v>27200</v>
      </c>
      <c r="J31" s="42">
        <f t="shared" si="8"/>
        <v>38000</v>
      </c>
    </row>
    <row r="32" spans="1:25" ht="13.5" hidden="1" thickBot="1" x14ac:dyDescent="0.25">
      <c r="B32" s="41"/>
      <c r="C32" s="42"/>
      <c r="D32" s="42">
        <f t="shared" ref="D32:J32" si="9">D21/3</f>
        <v>13500</v>
      </c>
      <c r="E32" s="42">
        <f t="shared" si="9"/>
        <v>0</v>
      </c>
      <c r="F32" s="42">
        <f t="shared" si="9"/>
        <v>0</v>
      </c>
      <c r="G32" s="42">
        <f t="shared" si="9"/>
        <v>15500</v>
      </c>
      <c r="H32" s="42">
        <f t="shared" si="9"/>
        <v>16000</v>
      </c>
      <c r="I32" s="42">
        <f t="shared" si="9"/>
        <v>17000</v>
      </c>
      <c r="J32" s="42">
        <f t="shared" si="9"/>
        <v>0</v>
      </c>
    </row>
    <row r="33" spans="1:10" ht="13.5" hidden="1" thickBot="1" x14ac:dyDescent="0.25">
      <c r="B33" s="41"/>
      <c r="C33" s="42">
        <f>C24/3</f>
        <v>14000</v>
      </c>
      <c r="D33" s="42">
        <f t="shared" ref="D33:H33" si="10">D24/3</f>
        <v>11100</v>
      </c>
      <c r="E33" s="42">
        <f t="shared" si="10"/>
        <v>15000</v>
      </c>
      <c r="F33" s="42">
        <f t="shared" si="10"/>
        <v>15400</v>
      </c>
      <c r="G33" s="42">
        <f t="shared" si="10"/>
        <v>12000</v>
      </c>
      <c r="H33" s="42">
        <f t="shared" si="10"/>
        <v>12400</v>
      </c>
      <c r="I33" s="42">
        <f t="shared" ref="I33:J33" si="11">I24/3</f>
        <v>13000</v>
      </c>
      <c r="J33" s="42">
        <f t="shared" si="11"/>
        <v>18500</v>
      </c>
    </row>
    <row r="34" spans="1:10" ht="13.5" hidden="1" thickBot="1" x14ac:dyDescent="0.25">
      <c r="B34" s="41"/>
      <c r="C34" s="42">
        <f t="shared" ref="C34:H34" si="12">C25/5</f>
        <v>14000</v>
      </c>
      <c r="D34" s="42">
        <f t="shared" si="12"/>
        <v>11100</v>
      </c>
      <c r="E34" s="42">
        <f t="shared" si="12"/>
        <v>15000</v>
      </c>
      <c r="F34" s="42">
        <f t="shared" si="12"/>
        <v>15400</v>
      </c>
      <c r="G34" s="42">
        <f t="shared" si="12"/>
        <v>12000</v>
      </c>
      <c r="H34" s="42">
        <f t="shared" si="12"/>
        <v>12400</v>
      </c>
      <c r="I34" s="42">
        <f t="shared" ref="I34:J34" si="13">I25/5</f>
        <v>13000</v>
      </c>
      <c r="J34" s="42">
        <f t="shared" si="13"/>
        <v>18500</v>
      </c>
    </row>
    <row r="35" spans="1:10" ht="13.5" hidden="1" thickBot="1" x14ac:dyDescent="0.25">
      <c r="B35" s="41"/>
      <c r="C35" s="42">
        <f t="shared" ref="C35:H35" si="14">C26/7</f>
        <v>14000</v>
      </c>
      <c r="D35" s="42">
        <f t="shared" si="14"/>
        <v>11100</v>
      </c>
      <c r="E35" s="42">
        <f t="shared" si="14"/>
        <v>15000</v>
      </c>
      <c r="F35" s="42">
        <f t="shared" si="14"/>
        <v>15400</v>
      </c>
      <c r="G35" s="42">
        <f t="shared" si="14"/>
        <v>12000</v>
      </c>
      <c r="H35" s="42">
        <f t="shared" si="14"/>
        <v>12400</v>
      </c>
      <c r="I35" s="42">
        <f t="shared" ref="I35:J35" si="15">I26/7</f>
        <v>13000</v>
      </c>
      <c r="J35" s="42">
        <f t="shared" si="15"/>
        <v>18500</v>
      </c>
    </row>
    <row r="36" spans="1:10" ht="13.5" hidden="1" thickBot="1" x14ac:dyDescent="0.25">
      <c r="B36" s="41"/>
      <c r="C36" s="42" t="e">
        <f>#REF!/2</f>
        <v>#REF!</v>
      </c>
      <c r="D36" s="42" t="e">
        <f>#REF!/2</f>
        <v>#REF!</v>
      </c>
      <c r="E36" s="42" t="e">
        <f>#REF!/2</f>
        <v>#REF!</v>
      </c>
      <c r="F36" s="42" t="e">
        <f>#REF!/2</f>
        <v>#REF!</v>
      </c>
      <c r="G36" s="42" t="e">
        <f>#REF!/2</f>
        <v>#REF!</v>
      </c>
      <c r="H36" s="42" t="e">
        <f>#REF!/2</f>
        <v>#REF!</v>
      </c>
      <c r="I36" s="42" t="e">
        <f>#REF!/2</f>
        <v>#REF!</v>
      </c>
      <c r="J36" s="42" t="e">
        <f>#REF!/2</f>
        <v>#REF!</v>
      </c>
    </row>
    <row r="37" spans="1:10" ht="13.5" hidden="1" thickBot="1" x14ac:dyDescent="0.25">
      <c r="B37" s="41"/>
      <c r="C37" s="42" t="e">
        <f>#REF!/3</f>
        <v>#REF!</v>
      </c>
      <c r="D37" s="42" t="e">
        <f>#REF!/3</f>
        <v>#REF!</v>
      </c>
      <c r="E37" s="42" t="e">
        <f>#REF!/3</f>
        <v>#REF!</v>
      </c>
      <c r="F37" s="42" t="e">
        <f>#REF!/3</f>
        <v>#REF!</v>
      </c>
      <c r="G37" s="42" t="e">
        <f>#REF!/3</f>
        <v>#REF!</v>
      </c>
      <c r="H37" s="42" t="e">
        <f>#REF!/3</f>
        <v>#REF!</v>
      </c>
      <c r="I37" s="42" t="e">
        <f>#REF!/3</f>
        <v>#REF!</v>
      </c>
      <c r="J37" s="42" t="e">
        <f>#REF!/3</f>
        <v>#REF!</v>
      </c>
    </row>
    <row r="38" spans="1:10" ht="13.5" thickBot="1" x14ac:dyDescent="0.25">
      <c r="A38" s="43" t="s">
        <v>23</v>
      </c>
      <c r="B38" s="44">
        <v>2</v>
      </c>
      <c r="C38" s="64"/>
      <c r="D38" s="64"/>
      <c r="E38" s="33">
        <f>23000*2</f>
        <v>46000</v>
      </c>
      <c r="F38" s="33">
        <f>23500*2</f>
        <v>47000</v>
      </c>
      <c r="G38" s="40" t="s">
        <v>36</v>
      </c>
      <c r="H38" s="40" t="s">
        <v>58</v>
      </c>
      <c r="I38" s="40" t="s">
        <v>49</v>
      </c>
      <c r="J38" s="40" t="s">
        <v>50</v>
      </c>
    </row>
    <row r="39" spans="1:10" x14ac:dyDescent="0.2">
      <c r="A39" s="2">
        <v>1</v>
      </c>
      <c r="B39" s="2" t="s">
        <v>11</v>
      </c>
    </row>
    <row r="40" spans="1:10" x14ac:dyDescent="0.2">
      <c r="B40" s="2" t="s">
        <v>46</v>
      </c>
    </row>
    <row r="41" spans="1:10" x14ac:dyDescent="0.2">
      <c r="A41" s="2">
        <v>2</v>
      </c>
      <c r="B41" s="2" t="s">
        <v>12</v>
      </c>
    </row>
    <row r="42" spans="1:10" x14ac:dyDescent="0.2">
      <c r="A42" s="2">
        <v>3</v>
      </c>
      <c r="B42" s="2" t="s">
        <v>35</v>
      </c>
    </row>
    <row r="43" spans="1:10" x14ac:dyDescent="0.2">
      <c r="A43" s="2">
        <v>4</v>
      </c>
      <c r="B43" s="2" t="s">
        <v>37</v>
      </c>
    </row>
    <row r="44" spans="1:10" x14ac:dyDescent="0.2">
      <c r="A44" s="2">
        <v>5</v>
      </c>
      <c r="B44" s="3" t="s">
        <v>38</v>
      </c>
    </row>
    <row r="45" spans="1:10" x14ac:dyDescent="0.2">
      <c r="A45" s="2">
        <v>6</v>
      </c>
      <c r="B45" s="2" t="s">
        <v>47</v>
      </c>
    </row>
    <row r="46" spans="1:10" x14ac:dyDescent="0.2">
      <c r="A46" s="2">
        <v>7</v>
      </c>
      <c r="B46" s="2" t="s">
        <v>48</v>
      </c>
    </row>
    <row r="48" spans="1:10" ht="150" customHeight="1" x14ac:dyDescent="0.2">
      <c r="B48" s="97" t="s">
        <v>63</v>
      </c>
      <c r="C48" s="97"/>
      <c r="D48" s="97"/>
      <c r="E48" s="97"/>
      <c r="F48" s="97"/>
      <c r="G48" s="97"/>
    </row>
  </sheetData>
  <mergeCells count="12">
    <mergeCell ref="B48:G48"/>
    <mergeCell ref="A27:A28"/>
    <mergeCell ref="A11:A13"/>
    <mergeCell ref="A14:A15"/>
    <mergeCell ref="A20:A21"/>
    <mergeCell ref="A5:A8"/>
    <mergeCell ref="B5:B8"/>
    <mergeCell ref="E5:F5"/>
    <mergeCell ref="G5:H5"/>
    <mergeCell ref="E6:F6"/>
    <mergeCell ref="G6:H6"/>
    <mergeCell ref="C5:C8"/>
  </mergeCells>
  <pageMargins left="0.25" right="0.25" top="0.75" bottom="0.75" header="0.3" footer="0.3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СКП с 01_09</vt:lpstr>
      <vt:lpstr>Автор каникулы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2024-12-01T10:16:10Z</dcterms:modified>
</cp:coreProperties>
</file>